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6\"/>
    </mc:Choice>
  </mc:AlternateContent>
  <xr:revisionPtr revIDLastSave="0" documentId="8_{362D2A56-F266-4A1E-A495-D175416B1077}" xr6:coauthVersionLast="47" xr6:coauthVersionMax="47" xr10:uidLastSave="{00000000-0000-0000-0000-000000000000}"/>
  <bookViews>
    <workbookView xWindow="-120" yWindow="-120" windowWidth="29040" windowHeight="15720" xr2:uid="{4A484B9F-AADF-4DF6-9DFF-3511F614931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L79" i="1"/>
  <c r="K79" i="1"/>
  <c r="G78" i="1"/>
  <c r="L77" i="1"/>
  <c r="L81" i="1" s="1"/>
  <c r="G77" i="1"/>
  <c r="H79" i="1" s="1"/>
  <c r="L75" i="1"/>
  <c r="P74" i="1"/>
  <c r="J73" i="1"/>
  <c r="C73" i="1"/>
  <c r="J72" i="1"/>
  <c r="C72" i="1"/>
  <c r="H70" i="1"/>
  <c r="H74" i="1" s="1"/>
  <c r="H81" i="1" s="1"/>
  <c r="J69" i="1"/>
  <c r="J68" i="1"/>
  <c r="K70" i="1" s="1"/>
  <c r="K74" i="1" s="1"/>
  <c r="C67" i="1"/>
  <c r="B66" i="1"/>
  <c r="H64" i="1"/>
  <c r="B64" i="1"/>
  <c r="K62" i="1"/>
  <c r="K61" i="1"/>
  <c r="I59" i="1"/>
  <c r="K52" i="1"/>
  <c r="L52" i="1" s="1"/>
  <c r="L50" i="1"/>
  <c r="K50" i="1"/>
  <c r="P46" i="1" s="1"/>
  <c r="G49" i="1"/>
  <c r="G48" i="1"/>
  <c r="H50" i="1" s="1"/>
  <c r="L46" i="1"/>
  <c r="H45" i="1"/>
  <c r="J44" i="1"/>
  <c r="J43" i="1"/>
  <c r="H41" i="1"/>
  <c r="J40" i="1"/>
  <c r="K41" i="1" s="1"/>
  <c r="K45" i="1" s="1"/>
  <c r="P45" i="1" s="1"/>
  <c r="H37" i="1"/>
  <c r="H54" i="1" s="1"/>
  <c r="K35" i="1"/>
  <c r="K34" i="1"/>
  <c r="K36" i="1" s="1"/>
  <c r="L33" i="1"/>
  <c r="G28" i="1"/>
  <c r="J27" i="1"/>
  <c r="G27" i="1"/>
  <c r="H29" i="1" s="1"/>
  <c r="J26" i="1"/>
  <c r="K29" i="1" s="1"/>
  <c r="G26" i="1"/>
  <c r="H24" i="1"/>
  <c r="J23" i="1"/>
  <c r="J28" i="1" s="1"/>
  <c r="J22" i="1"/>
  <c r="J21" i="1"/>
  <c r="K24" i="1" s="1"/>
  <c r="K20" i="1"/>
  <c r="H20" i="1"/>
  <c r="J19" i="1"/>
  <c r="J18" i="1"/>
  <c r="J17" i="1"/>
  <c r="H14" i="1"/>
  <c r="J13" i="1"/>
  <c r="K13" i="1" s="1"/>
  <c r="H13" i="1"/>
  <c r="H59" i="1" s="1"/>
  <c r="J12" i="1"/>
  <c r="J10" i="1"/>
  <c r="L61" i="1" s="1"/>
  <c r="K81" i="1" l="1"/>
  <c r="P75" i="1" s="1"/>
  <c r="P76" i="1" s="1"/>
  <c r="P73" i="1"/>
  <c r="K59" i="1"/>
  <c r="K32" i="1"/>
  <c r="P79" i="1"/>
  <c r="P82" i="1" s="1"/>
  <c r="K54" i="1"/>
  <c r="P47" i="1" s="1"/>
  <c r="L48" i="1"/>
  <c r="L54" i="1"/>
  <c r="L63" i="1"/>
  <c r="H32" i="1"/>
  <c r="K14" i="1"/>
  <c r="P51" i="1" l="1"/>
  <c r="P54" i="1" s="1"/>
  <c r="L56" i="1"/>
  <c r="L83" i="1"/>
  <c r="P48" i="1"/>
</calcChain>
</file>

<file path=xl/sharedStrings.xml><?xml version="1.0" encoding="utf-8"?>
<sst xmlns="http://schemas.openxmlformats.org/spreadsheetml/2006/main" count="100" uniqueCount="68">
  <si>
    <t>COMMONWEALTH OF KENTUCKY</t>
  </si>
  <si>
    <t>LAW ENFORCEMENT FOUNDATION AND FIREFIGHTERS FOUNDATION FUNDS</t>
  </si>
  <si>
    <t>SURTAX RECEIPTS WORKSHEET</t>
  </si>
  <si>
    <t>FOR THE PERIOD DECEMBER 1, 2025 - DECEMBER 31,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</si>
  <si>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</si>
  <si>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</si>
  <si>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</si>
  <si>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</si>
  <si>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</si>
  <si>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</si>
  <si>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</si>
  <si>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</si>
  <si>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</si>
  <si>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</si>
  <si>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</si>
  <si>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</si>
  <si>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</si>
  <si>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</si>
  <si>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</si>
  <si>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</si>
  <si>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</si>
  <si>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</si>
  <si>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</si>
  <si>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</si>
  <si>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</si>
  <si>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</si>
  <si>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NOVEMBER 30,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</si>
  <si>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</si>
  <si>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</si>
  <si>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</si>
  <si>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</si>
  <si>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</si>
  <si>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</si>
  <si>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</si>
  <si>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</si>
  <si>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</si>
  <si>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</si>
  <si>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</si>
  <si>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</si>
  <si>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</si>
  <si>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</si>
  <si>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</si>
  <si>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</si>
  <si>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</si>
  <si>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</si>
  <si>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</si>
  <si>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</si>
  <si>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</si>
  <si>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</si>
  <si>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</si>
  <si>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</si>
  <si>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DECEMBER 31, 2025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</si>
  <si>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</si>
  <si>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</si>
  <si>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</si>
  <si>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</si>
  <si>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</si>
  <si>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</si>
  <si>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</si>
  <si>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</si>
  <si>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</si>
  <si>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</si>
  <si>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</si>
  <si>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</si>
  <si>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</si>
  <si>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 xml:space="preserve">Variance due to 4 JV2Ts positing to AP 7 instead of AP6. Taking into account those 4 JV2Ts 13DB variance reconciles between DORIS and eMARS. </t>
  </si>
  <si>
    <t>1341:</t>
  </si>
  <si>
    <t xml:space="preserve">Variance due to 4 JV2Ts positing to AP 7 instead of AP6. Taking into account those 4 JV2Ts 1341 variance is $795.84 between DORIS and eMARS.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</si>
</sst>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3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7" fillId="7" borderId="23" xfId="0" applyNumberFormat="1" applyFont="1" applyFill="1" applyBorder="1" applyAlignment="1">
      <alignment horizontal="center"/>
    </xf>
    <xf numFmtId="39" fontId="17" fillId="7" borderId="24" xfId="0" applyNumberFormat="1" applyFont="1" applyFill="1" applyBorder="1" applyAlignment="1">
      <alignment horizontal="center"/>
    </xf>
    <xf numFmtId="39" fontId="17" fillId="7" borderId="17" xfId="0" applyNumberFormat="1" applyFont="1" applyFill="1" applyBorder="1" applyAlignment="1">
      <alignment horizontal="center"/>
    </xf>
    <xf numFmtId="39" fontId="17" fillId="0" borderId="0" xfId="0" applyNumberFormat="1" applyFont="1"/>
    <xf numFmtId="49" fontId="18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9" fillId="0" borderId="22" xfId="0" applyNumberFormat="1" applyFont="1" applyBorder="1"/>
    <xf numFmtId="49" fontId="10" fillId="0" borderId="2" xfId="0" applyNumberFormat="1" applyFont="1" applyBorder="1"/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J10">
            <v>14326182.760000002</v>
          </cell>
        </row>
        <row r="12">
          <cell r="J12">
            <v>53555979.420000002</v>
          </cell>
        </row>
        <row r="13">
          <cell r="J13">
            <v>15098818.68</v>
          </cell>
        </row>
        <row r="17">
          <cell r="J17">
            <v>-29045.29</v>
          </cell>
        </row>
        <row r="18">
          <cell r="J18">
            <v>-45757.09</v>
          </cell>
        </row>
        <row r="19">
          <cell r="J19">
            <v>-12905.870000000003</v>
          </cell>
        </row>
        <row r="21">
          <cell r="J21">
            <v>0</v>
          </cell>
        </row>
        <row r="22">
          <cell r="J22">
            <v>-10419.410000000003</v>
          </cell>
        </row>
        <row r="23">
          <cell r="J23">
            <v>8.9000000000160071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53143280.950000003</v>
          </cell>
        </row>
        <row r="43">
          <cell r="J43">
            <v>1139405.48</v>
          </cell>
        </row>
        <row r="44">
          <cell r="J44">
            <v>956361.68</v>
          </cell>
        </row>
        <row r="46">
          <cell r="L46">
            <v>-37406264.07</v>
          </cell>
        </row>
        <row r="48">
          <cell r="J48">
            <v>92644973.109999999</v>
          </cell>
        </row>
        <row r="49">
          <cell r="J49">
            <v>-69000.98</v>
          </cell>
        </row>
        <row r="52">
          <cell r="K52">
            <v>-339.07</v>
          </cell>
        </row>
        <row r="54">
          <cell r="K54">
            <v>94916447.879999995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15092162.049999997</v>
          </cell>
        </row>
        <row r="69">
          <cell r="J69">
            <v>14291518.240000002</v>
          </cell>
        </row>
        <row r="72">
          <cell r="J72">
            <v>1073279.3500000001</v>
          </cell>
        </row>
        <row r="75">
          <cell r="L75">
            <v>7355237.0300000003</v>
          </cell>
        </row>
        <row r="77">
          <cell r="J77">
            <v>23101722.609999999</v>
          </cell>
        </row>
        <row r="79">
          <cell r="K79">
            <v>23101722.609999999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16D4-5356-410E-BB84-841BBB7686A6}">
  <dimension ref="A1:P90"/>
  <sheetViews>
    <sheetView tabSelected="1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4.710937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4.710937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4.710937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4.710937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4.710937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4.710937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4.710937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4.710937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4.710937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4.710937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4.710937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4.710937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4.710937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4.710937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4.710937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4.710937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4.710937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4.710937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4.710937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4.710937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4.710937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4.710937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4.710937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4.710937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4.710937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4.710937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4.710937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4.710937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4.710937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4.710937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4.710937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4.710937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4.710937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4.710937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4.710937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4.710937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4.710937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4.710937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4.710937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4.710937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4.710937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4.710937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4.710937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4.710937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4.710937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4.710937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4.710937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4.710937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4.710937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4.710937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4.710937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4.710937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4.710937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4.710937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4.710937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4.710937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4.710937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4.710937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4.710937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4.710937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4.710937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4.710937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4.710937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2380687.16</v>
      </c>
      <c r="J10" s="21">
        <f>G10+'[1]NOV WKSHT'!J10</f>
        <v>16706869.920000002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9485014.1199999992</v>
      </c>
      <c r="J12" s="21">
        <f>G12+'[1]NOV WKSHT'!J12</f>
        <v>63040993.539999999</v>
      </c>
    </row>
    <row r="13" spans="1:12" ht="15" x14ac:dyDescent="0.25">
      <c r="C13" s="9" t="s">
        <v>10</v>
      </c>
      <c r="D13" s="8"/>
      <c r="E13" s="8"/>
      <c r="G13" s="23">
        <v>2675369.59</v>
      </c>
      <c r="H13" s="24">
        <f>SUM(G12:G13)</f>
        <v>12160383.709999999</v>
      </c>
      <c r="I13" s="21"/>
      <c r="J13" s="24">
        <f>G13+'[1]NOV WKSHT'!J13</f>
        <v>17774188.27</v>
      </c>
      <c r="K13" s="24">
        <f>SUM(J12:J13)</f>
        <v>80815181.810000002</v>
      </c>
    </row>
    <row r="14" spans="1:12" x14ac:dyDescent="0.2">
      <c r="E14" s="8"/>
      <c r="G14" s="25"/>
      <c r="H14" s="21">
        <f>G10+G12+G13</f>
        <v>14541070.869999999</v>
      </c>
      <c r="I14" s="21"/>
      <c r="K14" s="21">
        <f>SUM(J10:J13)</f>
        <v>97522051.730000004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G17+'[1]NOV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-838.89</v>
      </c>
      <c r="J18" s="8">
        <f>G18+'[1]NOV WKSHT'!J18</f>
        <v>-46595.979999999996</v>
      </c>
    </row>
    <row r="19" spans="1:12" x14ac:dyDescent="0.2">
      <c r="B19" s="8"/>
      <c r="C19" s="18"/>
      <c r="D19" s="19" t="s">
        <v>15</v>
      </c>
      <c r="E19" s="8"/>
      <c r="G19" s="28">
        <v>-236.61</v>
      </c>
      <c r="H19" s="24"/>
      <c r="J19" s="24">
        <f>G19+'[1]NOV WKSHT'!J19</f>
        <v>-13142.480000000003</v>
      </c>
      <c r="K19" s="24"/>
    </row>
    <row r="20" spans="1:12" x14ac:dyDescent="0.2">
      <c r="B20" s="9" t="s">
        <v>16</v>
      </c>
      <c r="E20" s="8"/>
      <c r="H20" s="8">
        <f>SUM(G17:G19)</f>
        <v>-1075.5</v>
      </c>
      <c r="K20" s="8">
        <f>SUM(J17:J19)</f>
        <v>-88783.75</v>
      </c>
    </row>
    <row r="21" spans="1:12" x14ac:dyDescent="0.2">
      <c r="B21" s="8"/>
      <c r="D21" s="19" t="s">
        <v>13</v>
      </c>
      <c r="E21" s="8"/>
      <c r="G21" s="20"/>
      <c r="J21" s="21">
        <f>G21+'[1]NOV WKSHT'!J21</f>
        <v>0</v>
      </c>
    </row>
    <row r="22" spans="1:12" x14ac:dyDescent="0.2">
      <c r="B22" s="8"/>
      <c r="D22" s="19" t="s">
        <v>14</v>
      </c>
      <c r="E22" s="8"/>
      <c r="G22" s="27"/>
      <c r="J22" s="8">
        <f>G22+'[1]NOV WKSHT'!J22</f>
        <v>-10419.410000000003</v>
      </c>
    </row>
    <row r="23" spans="1:12" x14ac:dyDescent="0.2">
      <c r="B23" s="8"/>
      <c r="D23" s="19" t="s">
        <v>15</v>
      </c>
      <c r="E23" s="8"/>
      <c r="G23" s="28"/>
      <c r="H23" s="24"/>
      <c r="J23" s="24">
        <f>G23+'[1]NOV WKSHT'!J23</f>
        <v>8.9000000000160071</v>
      </c>
      <c r="K23" s="24"/>
    </row>
    <row r="24" spans="1:12" x14ac:dyDescent="0.2">
      <c r="H24" s="8">
        <f>SUM(G21:G23)</f>
        <v>0</v>
      </c>
      <c r="K24" s="8">
        <f>SUM(J21:J23)</f>
        <v>-10410.509999999987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2380687.16</v>
      </c>
      <c r="J26" s="21">
        <f>+J21+J17+J10</f>
        <v>16677824.630000003</v>
      </c>
    </row>
    <row r="27" spans="1:12" x14ac:dyDescent="0.2">
      <c r="C27" s="9" t="s">
        <v>14</v>
      </c>
      <c r="D27" s="8"/>
      <c r="G27" s="8">
        <f>+G22+G18+G12</f>
        <v>9484175.2299999986</v>
      </c>
      <c r="J27" s="8">
        <f>+J22+J18+J12</f>
        <v>62983978.149999999</v>
      </c>
    </row>
    <row r="28" spans="1:12" x14ac:dyDescent="0.2">
      <c r="C28" s="9" t="s">
        <v>15</v>
      </c>
      <c r="D28" s="8"/>
      <c r="G28" s="24">
        <f>+G23+G19+G13</f>
        <v>2675132.98</v>
      </c>
      <c r="H28" s="24"/>
      <c r="J28" s="24">
        <f>+J23+J19+J13</f>
        <v>17761054.690000001</v>
      </c>
      <c r="K28" s="24"/>
    </row>
    <row r="29" spans="1:12" x14ac:dyDescent="0.2">
      <c r="D29" s="8"/>
      <c r="H29" s="29">
        <f>SUM(G26:G28)</f>
        <v>14539995.369999999</v>
      </c>
      <c r="K29" s="29">
        <f>SUM(J26:J28)</f>
        <v>97422857.469999999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9485099.2938000001</v>
      </c>
      <c r="K32" s="31">
        <f>+K13*0.78</f>
        <v>63035841.811800003</v>
      </c>
      <c r="L32" s="32" t="s">
        <v>21</v>
      </c>
    </row>
    <row r="33" spans="1:16" x14ac:dyDescent="0.2">
      <c r="C33" s="8"/>
      <c r="E33" s="8"/>
      <c r="H33" s="33"/>
      <c r="K33" s="33"/>
      <c r="L33" s="34">
        <f>J12+J18+J22-J40</f>
        <v>899962.46999999881</v>
      </c>
    </row>
    <row r="34" spans="1:16" x14ac:dyDescent="0.2">
      <c r="A34" s="35"/>
      <c r="B34" s="9" t="s">
        <v>22</v>
      </c>
      <c r="K34" s="27">
        <f>'[1]NOV WKSHT'!K34</f>
        <v>132322711.95</v>
      </c>
      <c r="L34" s="36" t="s">
        <v>23</v>
      </c>
    </row>
    <row r="35" spans="1:16" x14ac:dyDescent="0.2">
      <c r="A35" s="35"/>
      <c r="B35" s="9" t="s">
        <v>24</v>
      </c>
      <c r="K35" s="28">
        <f>'[1]NOV WKSHT'!K35</f>
        <v>69340.05</v>
      </c>
    </row>
    <row r="36" spans="1:16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6" x14ac:dyDescent="0.2">
      <c r="B37" s="35" t="s">
        <v>26</v>
      </c>
      <c r="C37" s="39"/>
      <c r="D37" s="39"/>
      <c r="E37" s="40"/>
      <c r="F37" s="40"/>
      <c r="H37" s="37">
        <f>'[1]NOV WKSHT'!K54</f>
        <v>94916447.879999995</v>
      </c>
    </row>
    <row r="38" spans="1:16" x14ac:dyDescent="0.2">
      <c r="B38" s="35"/>
      <c r="C38" s="39"/>
      <c r="D38" s="39"/>
      <c r="E38" s="40"/>
      <c r="F38" s="40"/>
      <c r="H38" s="33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8940734.7300000004</v>
      </c>
      <c r="H40" s="24"/>
      <c r="J40" s="41">
        <f>G40+'[1]NOV WKSHT'!J40</f>
        <v>62084015.680000007</v>
      </c>
      <c r="K40" s="24"/>
    </row>
    <row r="41" spans="1:16" ht="15" x14ac:dyDescent="0.25">
      <c r="H41" s="8">
        <f>SUM(G40:G40)</f>
        <v>8940734.7300000004</v>
      </c>
      <c r="K41" s="42">
        <f>SUM(J40:J40)</f>
        <v>62084015.680000007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323120.03000000003</v>
      </c>
      <c r="J43" s="43">
        <f>G43+'[1]NOV WKSHT'!J43</f>
        <v>1462525.51</v>
      </c>
      <c r="O43" s="44" t="s">
        <v>30</v>
      </c>
      <c r="P43" s="45"/>
    </row>
    <row r="44" spans="1:16" ht="15" x14ac:dyDescent="0.25">
      <c r="C44" s="9" t="s">
        <v>31</v>
      </c>
      <c r="G44" s="28"/>
      <c r="H44" s="24"/>
      <c r="J44" s="24">
        <f>G44+'[1]NOV WKSHT'!J44</f>
        <v>956361.68</v>
      </c>
      <c r="K44" s="24"/>
      <c r="O44" s="46" t="s">
        <v>32</v>
      </c>
      <c r="P44" s="47">
        <v>132253371.90000001</v>
      </c>
    </row>
    <row r="45" spans="1:16" ht="15" x14ac:dyDescent="0.25">
      <c r="B45" s="10" t="s">
        <v>33</v>
      </c>
      <c r="C45" s="10"/>
      <c r="D45" s="10"/>
      <c r="E45" s="10"/>
      <c r="H45" s="37">
        <f>H41+G43+G44</f>
        <v>9263854.7599999998</v>
      </c>
      <c r="K45" s="37">
        <f>K41+J43+J44</f>
        <v>64502902.870000005</v>
      </c>
      <c r="L45" s="32" t="s">
        <v>34</v>
      </c>
      <c r="O45" s="46" t="s">
        <v>35</v>
      </c>
      <c r="P45" s="48">
        <f>K45</f>
        <v>64502902.870000005</v>
      </c>
    </row>
    <row r="46" spans="1:16" ht="15" x14ac:dyDescent="0.25">
      <c r="L46" s="49">
        <f>2378567.65+'[1]NOV WKSHT'!L46</f>
        <v>-35027696.420000002</v>
      </c>
      <c r="O46" s="46" t="s">
        <v>36</v>
      </c>
      <c r="P46" s="48">
        <f>K50</f>
        <v>99461259.239999995</v>
      </c>
    </row>
    <row r="47" spans="1:16" ht="15.75" thickBot="1" x14ac:dyDescent="0.3">
      <c r="B47" s="18" t="s">
        <v>37</v>
      </c>
      <c r="L47" s="50" t="s">
        <v>38</v>
      </c>
      <c r="O47" s="46" t="s">
        <v>39</v>
      </c>
      <c r="P47" s="51">
        <f>K54</f>
        <v>97295015.530000016</v>
      </c>
    </row>
    <row r="48" spans="1:16" ht="15.75" thickTop="1" x14ac:dyDescent="0.25">
      <c r="B48" s="18"/>
      <c r="C48" s="9" t="s">
        <v>40</v>
      </c>
      <c r="G48" s="8">
        <f>J48-'[1]NOV WKSHT'!J48</f>
        <v>6885287.1099999994</v>
      </c>
      <c r="J48" s="27">
        <v>99530260.219999999</v>
      </c>
      <c r="L48" s="52">
        <f>K36</f>
        <v>132253371.90000001</v>
      </c>
      <c r="O48" s="53" t="s">
        <v>41</v>
      </c>
      <c r="P48" s="54">
        <f>P47-L54</f>
        <v>0</v>
      </c>
    </row>
    <row r="49" spans="1:16" ht="13.5" thickBot="1" x14ac:dyDescent="0.25">
      <c r="B49" s="18"/>
      <c r="C49" s="9" t="s">
        <v>42</v>
      </c>
      <c r="G49" s="24">
        <f>J49-'[1]NOV WKSHT'!J49</f>
        <v>0</v>
      </c>
      <c r="H49" s="24"/>
      <c r="J49" s="28">
        <v>-69000.98</v>
      </c>
      <c r="K49" s="55"/>
      <c r="L49" s="50" t="s">
        <v>43</v>
      </c>
    </row>
    <row r="50" spans="1:16" ht="15" x14ac:dyDescent="0.25">
      <c r="B50" s="10" t="s">
        <v>44</v>
      </c>
      <c r="C50" s="10"/>
      <c r="D50" s="10"/>
      <c r="E50" s="10"/>
      <c r="H50" s="37">
        <f>G48+G49</f>
        <v>6885287.1099999994</v>
      </c>
      <c r="K50" s="37">
        <f>SUM(J48:J49)</f>
        <v>99461259.239999995</v>
      </c>
      <c r="L50" s="52">
        <f>J49</f>
        <v>-69000.98</v>
      </c>
      <c r="O50" s="56" t="s">
        <v>45</v>
      </c>
      <c r="P50" s="57"/>
    </row>
    <row r="51" spans="1:16" ht="15" x14ac:dyDescent="0.25">
      <c r="B51" s="10"/>
      <c r="C51" s="10"/>
      <c r="D51" s="10"/>
      <c r="E51" s="10"/>
      <c r="H51" s="37"/>
      <c r="L51" s="50" t="s">
        <v>46</v>
      </c>
      <c r="O51" s="58" t="s">
        <v>47</v>
      </c>
      <c r="P51" s="59">
        <f>L54</f>
        <v>97295015.530000001</v>
      </c>
    </row>
    <row r="52" spans="1:16" ht="15" x14ac:dyDescent="0.25">
      <c r="B52" s="8"/>
      <c r="C52" s="9" t="s">
        <v>46</v>
      </c>
      <c r="H52" s="8">
        <v>0</v>
      </c>
      <c r="K52" s="37">
        <f>H52+'[1]NOV WKSHT'!K52</f>
        <v>-339.07</v>
      </c>
      <c r="L52" s="52">
        <f>K52</f>
        <v>-339.07</v>
      </c>
      <c r="O52" s="58" t="s">
        <v>48</v>
      </c>
      <c r="P52" s="59">
        <v>97295015.530000001</v>
      </c>
    </row>
    <row r="53" spans="1:16" ht="15.75" thickBot="1" x14ac:dyDescent="0.3">
      <c r="H53" s="37"/>
      <c r="L53" s="50" t="s">
        <v>49</v>
      </c>
      <c r="O53" s="58" t="s">
        <v>50</v>
      </c>
      <c r="P53" s="60">
        <v>0</v>
      </c>
    </row>
    <row r="54" spans="1:16" ht="15.75" thickBot="1" x14ac:dyDescent="0.3">
      <c r="B54" s="61" t="s">
        <v>51</v>
      </c>
      <c r="C54" s="62"/>
      <c r="D54" s="62"/>
      <c r="E54" s="62"/>
      <c r="H54" s="63">
        <f>H37+H45-H50</f>
        <v>97295015.530000001</v>
      </c>
      <c r="K54" s="64">
        <f>+K36+K45-K50</f>
        <v>97295015.530000016</v>
      </c>
      <c r="L54" s="65">
        <f>L46+L48-L50-L52</f>
        <v>97295015.530000001</v>
      </c>
      <c r="O54" s="66" t="s">
        <v>52</v>
      </c>
      <c r="P54" s="60">
        <f>P51-P52-P53</f>
        <v>0</v>
      </c>
    </row>
    <row r="55" spans="1:16" ht="15" x14ac:dyDescent="0.25">
      <c r="B55" s="8"/>
      <c r="C55" s="8"/>
      <c r="D55" s="8"/>
      <c r="E55" s="8"/>
      <c r="H55" s="67"/>
      <c r="K55" s="67"/>
      <c r="L55" s="50" t="s">
        <v>53</v>
      </c>
      <c r="O55" s="68"/>
      <c r="P55" s="68"/>
    </row>
    <row r="56" spans="1:16" x14ac:dyDescent="0.2">
      <c r="C56" s="8"/>
      <c r="E56" s="8"/>
      <c r="G56" s="69"/>
      <c r="H56" s="67"/>
      <c r="K56" s="67"/>
      <c r="L56" s="70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1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69">
        <v>0.22</v>
      </c>
      <c r="H59" s="31">
        <f>+H13*0.22</f>
        <v>2675284.4161999999</v>
      </c>
      <c r="I59" s="31">
        <f>+I13*0.28</f>
        <v>0</v>
      </c>
      <c r="J59" s="31"/>
      <c r="K59" s="31">
        <f>+K13*0.22</f>
        <v>17779339.998199999</v>
      </c>
    </row>
    <row r="60" spans="1:16" x14ac:dyDescent="0.2">
      <c r="B60" s="8"/>
      <c r="C60" s="8"/>
      <c r="E60" s="8"/>
      <c r="G60" s="69"/>
      <c r="H60" s="31"/>
      <c r="I60" s="31"/>
      <c r="J60" s="31"/>
      <c r="K60" s="31"/>
      <c r="L60" s="32" t="s">
        <v>56</v>
      </c>
    </row>
    <row r="61" spans="1:16" x14ac:dyDescent="0.2">
      <c r="A61" s="35"/>
      <c r="B61" s="9" t="s">
        <v>22</v>
      </c>
      <c r="K61" s="27">
        <f>'[1]NOV WKSHT'!K61</f>
        <v>55137741.200000003</v>
      </c>
      <c r="L61" s="34">
        <f>J10+J17+J21-J69</f>
        <v>7027.2800000011921</v>
      </c>
    </row>
    <row r="62" spans="1:16" ht="15" x14ac:dyDescent="0.25">
      <c r="A62" s="35"/>
      <c r="B62" s="9" t="s">
        <v>24</v>
      </c>
      <c r="K62" s="72">
        <f>'[1]NOV WKSHT'!K62</f>
        <v>0</v>
      </c>
      <c r="L62" s="32" t="s">
        <v>57</v>
      </c>
      <c r="O62" s="68"/>
      <c r="P62" s="68"/>
    </row>
    <row r="63" spans="1:16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246034.3200000003</v>
      </c>
    </row>
    <row r="64" spans="1:16" x14ac:dyDescent="0.2">
      <c r="B64" s="10" t="str">
        <f>+B37</f>
        <v>AVAILABLE CASH BALANCE NOVEMBER 30, 2025</v>
      </c>
      <c r="H64" s="37">
        <f>'[1]NOV WKSHT'!K79</f>
        <v>23101722.609999999</v>
      </c>
      <c r="I64" s="21"/>
      <c r="L64" s="36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3"/>
      <c r="K67" s="73"/>
    </row>
    <row r="68" spans="2:16" x14ac:dyDescent="0.2">
      <c r="C68" s="18"/>
      <c r="D68" s="74" t="s">
        <v>58</v>
      </c>
      <c r="F68" s="22"/>
      <c r="G68" s="20">
        <v>2422858.3199999998</v>
      </c>
      <c r="J68" s="8">
        <f>G68+'[1]NOV WKSHT'!J68</f>
        <v>17515020.369999997</v>
      </c>
    </row>
    <row r="69" spans="2:16" ht="15" x14ac:dyDescent="0.25">
      <c r="C69" s="18"/>
      <c r="D69" s="75" t="s">
        <v>59</v>
      </c>
      <c r="F69" s="76"/>
      <c r="G69" s="23">
        <v>2379279.11</v>
      </c>
      <c r="H69" s="24"/>
      <c r="J69" s="77">
        <f>G69+'[1]NOV WKSHT'!J69</f>
        <v>16670797.350000001</v>
      </c>
      <c r="K69" s="24"/>
    </row>
    <row r="70" spans="2:16" x14ac:dyDescent="0.2">
      <c r="H70" s="8">
        <f>SUM(G68+G69)</f>
        <v>4802137.43</v>
      </c>
      <c r="K70" s="8">
        <f>SUM(J68:J69)</f>
        <v>34185817.719999999</v>
      </c>
    </row>
    <row r="71" spans="2:16" ht="15" x14ac:dyDescent="0.25">
      <c r="B71" s="9" t="s">
        <v>11</v>
      </c>
      <c r="O71" s="44" t="s">
        <v>60</v>
      </c>
      <c r="P71" s="45"/>
    </row>
    <row r="72" spans="2:16" ht="15" x14ac:dyDescent="0.25">
      <c r="B72" s="8"/>
      <c r="C72" s="18" t="str">
        <f>+C43</f>
        <v>INVESTMENT INCOME (R771)</v>
      </c>
      <c r="G72" s="27">
        <v>239017.27</v>
      </c>
      <c r="J72" s="8">
        <f>G72+'[1]NOV WKSHT'!J72</f>
        <v>1312296.6200000001</v>
      </c>
      <c r="O72" s="46" t="s">
        <v>32</v>
      </c>
      <c r="P72" s="47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6" t="s">
        <v>35</v>
      </c>
      <c r="P73" s="48">
        <f>K74</f>
        <v>35498114.339999996</v>
      </c>
    </row>
    <row r="74" spans="2:16" ht="15" x14ac:dyDescent="0.25">
      <c r="B74" s="10" t="s">
        <v>33</v>
      </c>
      <c r="C74" s="8"/>
      <c r="H74" s="37">
        <f>H70+G72+G73</f>
        <v>5041154.6999999993</v>
      </c>
      <c r="K74" s="37">
        <f>K70+J72+J73</f>
        <v>35498114.339999996</v>
      </c>
      <c r="L74" s="32" t="s">
        <v>34</v>
      </c>
      <c r="O74" s="46" t="s">
        <v>36</v>
      </c>
      <c r="P74" s="48">
        <f>K79</f>
        <v>28569912.66</v>
      </c>
    </row>
    <row r="75" spans="2:16" ht="15.75" thickBot="1" x14ac:dyDescent="0.3">
      <c r="L75" s="49">
        <f>-427035.35+'[1]NOV WKSHT'!L75</f>
        <v>6928201.6800000006</v>
      </c>
      <c r="O75" s="46" t="s">
        <v>39</v>
      </c>
      <c r="P75" s="51">
        <f>K81</f>
        <v>62065942.879999995</v>
      </c>
    </row>
    <row r="76" spans="2:16" ht="15.75" thickTop="1" x14ac:dyDescent="0.25">
      <c r="B76" s="18" t="s">
        <v>37</v>
      </c>
      <c r="L76" s="50" t="s">
        <v>38</v>
      </c>
      <c r="O76" s="53" t="s">
        <v>41</v>
      </c>
      <c r="P76" s="54">
        <f>P75-L81</f>
        <v>0</v>
      </c>
    </row>
    <row r="77" spans="2:16" ht="15.75" thickBot="1" x14ac:dyDescent="0.3">
      <c r="B77" s="8"/>
      <c r="C77" s="9" t="s">
        <v>40</v>
      </c>
      <c r="G77" s="8">
        <f>J77-'[1]NOV WKSHT'!J77</f>
        <v>5468190.0500000007</v>
      </c>
      <c r="J77" s="78">
        <v>28569912.66</v>
      </c>
      <c r="L77" s="52">
        <f>K63</f>
        <v>55137741.200000003</v>
      </c>
    </row>
    <row r="78" spans="2:16" ht="15" x14ac:dyDescent="0.25">
      <c r="B78" s="18"/>
      <c r="C78" s="9" t="s">
        <v>42</v>
      </c>
      <c r="G78" s="24">
        <f>J78-'[1]NOV WKSHT'!J76</f>
        <v>0</v>
      </c>
      <c r="H78" s="24"/>
      <c r="J78" s="28"/>
      <c r="K78" s="76"/>
      <c r="L78" s="50" t="s">
        <v>43</v>
      </c>
      <c r="O78" s="56" t="s">
        <v>45</v>
      </c>
      <c r="P78" s="57"/>
    </row>
    <row r="79" spans="2:16" ht="15" x14ac:dyDescent="0.25">
      <c r="B79" s="10" t="s">
        <v>44</v>
      </c>
      <c r="H79" s="37">
        <f>G77+G78</f>
        <v>5468190.0500000007</v>
      </c>
      <c r="K79" s="37">
        <f>J77+J78</f>
        <v>28569912.66</v>
      </c>
      <c r="L79" s="52">
        <f>J78</f>
        <v>0</v>
      </c>
      <c r="O79" s="58" t="s">
        <v>47</v>
      </c>
      <c r="P79" s="59">
        <f>L81</f>
        <v>62065942.880000003</v>
      </c>
    </row>
    <row r="80" spans="2:16" ht="15" x14ac:dyDescent="0.25">
      <c r="L80" s="50" t="s">
        <v>49</v>
      </c>
      <c r="O80" s="58" t="s">
        <v>61</v>
      </c>
      <c r="P80" s="59">
        <v>62065942.880000003</v>
      </c>
    </row>
    <row r="81" spans="1:16" ht="15.75" thickBot="1" x14ac:dyDescent="0.3">
      <c r="B81" s="62" t="str">
        <f>+B54</f>
        <v>AVAILABLE CASH BALANCE DECEMBER 31, 2025</v>
      </c>
      <c r="C81" s="79"/>
      <c r="D81" s="79"/>
      <c r="E81" s="79"/>
      <c r="H81" s="64">
        <f>H64+H74-H79</f>
        <v>22674687.259999998</v>
      </c>
      <c r="K81" s="64">
        <f>K63+K74-K79</f>
        <v>62065942.879999995</v>
      </c>
      <c r="L81" s="65">
        <f>L75+L77-L79</f>
        <v>62065942.880000003</v>
      </c>
      <c r="O81" s="58" t="s">
        <v>62</v>
      </c>
      <c r="P81" s="60">
        <v>0</v>
      </c>
    </row>
    <row r="82" spans="1:16" ht="15.75" thickBot="1" x14ac:dyDescent="0.3">
      <c r="G82" s="80"/>
      <c r="L82" s="52" t="s">
        <v>53</v>
      </c>
      <c r="O82" s="66" t="s">
        <v>52</v>
      </c>
      <c r="P82" s="60">
        <f>P79-P80-P81</f>
        <v>0</v>
      </c>
    </row>
    <row r="83" spans="1:16" x14ac:dyDescent="0.2">
      <c r="L83" s="70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1" t="s">
        <v>63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84"/>
    </row>
    <row r="89" spans="1:16" ht="15.75" thickBot="1" x14ac:dyDescent="0.25">
      <c r="A89" s="85" t="s">
        <v>64</v>
      </c>
      <c r="B89" s="86"/>
      <c r="C89" s="87" t="s">
        <v>65</v>
      </c>
      <c r="D89" s="87"/>
      <c r="E89" s="87"/>
      <c r="F89" s="87"/>
      <c r="G89" s="87"/>
      <c r="H89" s="87"/>
      <c r="I89" s="87"/>
      <c r="J89" s="87"/>
      <c r="K89" s="87"/>
      <c r="L89" s="88"/>
      <c r="M89" s="89"/>
    </row>
    <row r="90" spans="1:16" ht="15.75" thickBot="1" x14ac:dyDescent="0.3">
      <c r="A90" s="90" t="s">
        <v>66</v>
      </c>
      <c r="B90" s="91"/>
      <c r="C90" s="87" t="s">
        <v>67</v>
      </c>
      <c r="D90" s="87"/>
      <c r="E90" s="87"/>
      <c r="F90" s="87"/>
      <c r="G90" s="87"/>
      <c r="H90" s="87"/>
      <c r="I90" s="87"/>
      <c r="J90" s="87"/>
      <c r="K90" s="87"/>
      <c r="L90" s="88"/>
      <c r="M90" s="92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2026-01-14T15:21:36Z</dcterms:created>
  <dcterms:modified xsi:type="dcterms:W3CDTF">2026-01-14T15:22:10Z</dcterms:modified>
</cp:coreProperties>
</file>